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a\Desktop\הכשרה\Teaching assistent material\"/>
    </mc:Choice>
  </mc:AlternateContent>
  <xr:revisionPtr revIDLastSave="0" documentId="13_ncr:1_{10DA1F43-F4E5-4EAC-9B31-9043768F5077}" xr6:coauthVersionLast="47" xr6:coauthVersionMax="47" xr10:uidLastSave="{00000000-0000-0000-0000-000000000000}"/>
  <bookViews>
    <workbookView xWindow="11376" yWindow="12852" windowWidth="23256" windowHeight="13896" xr2:uid="{17DD7882-22C1-244F-AEF0-49B1A146E2F4}"/>
  </bookViews>
  <sheets>
    <sheet name="Question 1 - a" sheetId="1" r:id="rId1"/>
    <sheet name="Question 1 - b" sheetId="2" r:id="rId2"/>
    <sheet name="Question 1 - c" sheetId="3" r:id="rId3"/>
    <sheet name="Question 1 - 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4" l="1"/>
  <c r="F37" i="4"/>
  <c r="F32" i="4"/>
  <c r="F25" i="4"/>
  <c r="F23" i="4"/>
  <c r="K10" i="2"/>
  <c r="K9" i="2"/>
  <c r="F56" i="1"/>
  <c r="G8" i="1"/>
  <c r="G7" i="1"/>
  <c r="K35" i="2"/>
  <c r="F53" i="1"/>
  <c r="F28" i="1"/>
  <c r="E13" i="4"/>
  <c r="F33" i="2"/>
  <c r="G7" i="4"/>
  <c r="F35" i="4"/>
  <c r="J13" i="3"/>
  <c r="J8" i="3"/>
  <c r="K24" i="2"/>
  <c r="K27" i="2"/>
  <c r="K28" i="2" s="1"/>
  <c r="K34" i="2"/>
  <c r="K38" i="2"/>
  <c r="K22" i="2"/>
  <c r="K11" i="2"/>
  <c r="K14" i="2"/>
  <c r="G57" i="1"/>
  <c r="K23" i="2" s="1"/>
  <c r="G54" i="1"/>
  <c r="K15" i="2" s="1"/>
  <c r="F50" i="1"/>
  <c r="J12" i="3" s="1"/>
  <c r="G47" i="1"/>
  <c r="F46" i="1"/>
  <c r="J11" i="3" s="1"/>
  <c r="G29" i="1"/>
  <c r="G51" i="1" l="1"/>
  <c r="J18" i="3"/>
  <c r="F11" i="4"/>
  <c r="G11" i="4" s="1"/>
  <c r="J14" i="3"/>
  <c r="J16" i="3" s="1"/>
  <c r="K25" i="2"/>
  <c r="K30" i="2" s="1"/>
  <c r="K16" i="2"/>
  <c r="J20" i="3" l="1"/>
  <c r="K40" i="2" s="1"/>
  <c r="K42" i="2" s="1"/>
  <c r="K44" i="2" s="1"/>
  <c r="F9" i="4"/>
  <c r="E60" i="1"/>
  <c r="K12" i="2"/>
  <c r="K18" i="2" s="1"/>
  <c r="K46" i="2" l="1"/>
  <c r="F13" i="4"/>
  <c r="F37" i="2" s="1"/>
  <c r="G9" i="4"/>
  <c r="G13" i="4" s="1"/>
  <c r="I13" i="4" l="1"/>
  <c r="I7" i="4"/>
  <c r="I11" i="4"/>
  <c r="I9" i="4"/>
</calcChain>
</file>

<file path=xl/sharedStrings.xml><?xml version="1.0" encoding="utf-8"?>
<sst xmlns="http://schemas.openxmlformats.org/spreadsheetml/2006/main" count="124" uniqueCount="94">
  <si>
    <t>Debit</t>
  </si>
  <si>
    <t>Cerdit</t>
  </si>
  <si>
    <t>Description</t>
  </si>
  <si>
    <t>Founders' contribution</t>
  </si>
  <si>
    <t>SAFE Agreement</t>
  </si>
  <si>
    <t>for 100,000 common shares</t>
  </si>
  <si>
    <t>Account name</t>
  </si>
  <si>
    <t>Cash</t>
  </si>
  <si>
    <t>Common Share Capital</t>
  </si>
  <si>
    <t>Date</t>
  </si>
  <si>
    <t>Bullet Loan</t>
  </si>
  <si>
    <t>SAFE Short-term Liability</t>
  </si>
  <si>
    <t>Loan Long-term Liability</t>
  </si>
  <si>
    <t>Purchase of  Computers</t>
  </si>
  <si>
    <t>Computers - Fixed Assets</t>
  </si>
  <si>
    <t>Annual insurance policy</t>
  </si>
  <si>
    <t>Pre-paid Expenses</t>
  </si>
  <si>
    <t>July Revenue</t>
  </si>
  <si>
    <t>Customers</t>
  </si>
  <si>
    <t>Revenue</t>
  </si>
  <si>
    <t>Spetember Revenue</t>
  </si>
  <si>
    <t>Bullet Loan - Interest payment</t>
  </si>
  <si>
    <t>Interest Expenses</t>
  </si>
  <si>
    <t>SAFE Agreement - Investor A</t>
  </si>
  <si>
    <t>Round A - Investor B</t>
  </si>
  <si>
    <t>Preferred Stock - A</t>
  </si>
  <si>
    <t>December Revenue</t>
  </si>
  <si>
    <t>Customer</t>
  </si>
  <si>
    <t>July customer payment</t>
  </si>
  <si>
    <t>September customer payment</t>
  </si>
  <si>
    <t>Payroll expenses</t>
  </si>
  <si>
    <t>Payroll expenses - OPEX</t>
  </si>
  <si>
    <t>Employees - Liability</t>
  </si>
  <si>
    <t>Rent Expenses</t>
  </si>
  <si>
    <t>Rent expense - OPEX</t>
  </si>
  <si>
    <t>Depreciation expenses</t>
  </si>
  <si>
    <t>Depreciation - OPEX</t>
  </si>
  <si>
    <t>Accumulated Depreciation</t>
  </si>
  <si>
    <t>Bullet Loan - Interest accrual</t>
  </si>
  <si>
    <t>Interest expenses</t>
  </si>
  <si>
    <t>Interest Accrual - Liability</t>
  </si>
  <si>
    <t>Check</t>
  </si>
  <si>
    <t xml:space="preserve">Conversion of SAFE </t>
  </si>
  <si>
    <t>#s</t>
  </si>
  <si>
    <t>ABC Inc.</t>
  </si>
  <si>
    <t>Balance Sheet</t>
  </si>
  <si>
    <t>Computers</t>
  </si>
  <si>
    <t>Total non-current assets</t>
  </si>
  <si>
    <t>Total current assets</t>
  </si>
  <si>
    <t>Total Assets</t>
  </si>
  <si>
    <t>Employees</t>
  </si>
  <si>
    <t>Accruals - other</t>
  </si>
  <si>
    <t>Total current liabilities</t>
  </si>
  <si>
    <t>Total non-current liabilities</t>
  </si>
  <si>
    <t>Assets</t>
  </si>
  <si>
    <t>Liabilities and Shareholders Equity</t>
  </si>
  <si>
    <t>Total Liabilities</t>
  </si>
  <si>
    <t>issued and outstanding</t>
  </si>
  <si>
    <t>Total Shareholders Equity</t>
  </si>
  <si>
    <t>Total Liabilities and Shareholders Equity</t>
  </si>
  <si>
    <t>Income Statement</t>
  </si>
  <si>
    <t>Operating Expenses:</t>
  </si>
  <si>
    <t>Payroll</t>
  </si>
  <si>
    <t>Rent</t>
  </si>
  <si>
    <t>Depreciation</t>
  </si>
  <si>
    <t>Common</t>
  </si>
  <si>
    <t>Preferred A</t>
  </si>
  <si>
    <t>Founders</t>
  </si>
  <si>
    <t>Investor A</t>
  </si>
  <si>
    <t>Investor B</t>
  </si>
  <si>
    <t>Interest</t>
  </si>
  <si>
    <t>Discount</t>
  </si>
  <si>
    <t>Cap Valuation</t>
  </si>
  <si>
    <t>Total</t>
  </si>
  <si>
    <t>Round A - Share Price:</t>
  </si>
  <si>
    <t>Pre-money valuation</t>
  </si>
  <si>
    <t>Shares outstanding (before SAFE)</t>
  </si>
  <si>
    <t>Per Share valuation</t>
  </si>
  <si>
    <t>Investor A - SAFE convertion</t>
  </si>
  <si>
    <t>Investor A per share</t>
  </si>
  <si>
    <t>Investor A # of shares</t>
  </si>
  <si>
    <t>Investor B # of shares</t>
  </si>
  <si>
    <t>Per Share $ valuation</t>
  </si>
  <si>
    <t>Amount invested</t>
  </si>
  <si>
    <t>30/11//2025</t>
  </si>
  <si>
    <t>as of December 31, 2025</t>
  </si>
  <si>
    <t>issued and outstanding, par value</t>
  </si>
  <si>
    <t>Additional paid-in capital</t>
  </si>
  <si>
    <t>APIC</t>
  </si>
  <si>
    <t>Accumulated earnings/(loss)</t>
  </si>
  <si>
    <t>for the Year Ended December 31, 2025</t>
  </si>
  <si>
    <t>Operating profit/(loss)</t>
  </si>
  <si>
    <t>Net income/(loss)</t>
  </si>
  <si>
    <t>Shareholders Interest as of December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</si>
</sst>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$-409]#,##0.00"/>
  </numFmts>
  <fonts count="9" x14ac:knownFonts="1"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u/>
      <sz val="12"/>
      <color theme="1"/>
      <name val="Arial"/>
      <family val="2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165" fontId="4" fillId="0" borderId="0" xfId="1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3" fillId="0" borderId="0" xfId="1" applyNumberFormat="1" applyFont="1"/>
    <xf numFmtId="0" fontId="2" fillId="0" borderId="0" xfId="0" applyFont="1"/>
    <xf numFmtId="14" fontId="3" fillId="0" borderId="0" xfId="0" applyNumberFormat="1" applyFont="1"/>
    <xf numFmtId="165" fontId="5" fillId="0" borderId="0" xfId="0" applyNumberFormat="1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3" fontId="3" fillId="0" borderId="0" xfId="0" applyNumberFormat="1" applyFont="1"/>
    <xf numFmtId="0" fontId="3" fillId="0" borderId="2" xfId="0" applyFont="1" applyBorder="1" applyAlignment="1">
      <alignment horizontal="center"/>
    </xf>
    <xf numFmtId="37" fontId="5" fillId="0" borderId="1" xfId="0" applyNumberFormat="1" applyFont="1" applyBorder="1"/>
    <xf numFmtId="37" fontId="5" fillId="0" borderId="0" xfId="0" applyNumberFormat="1" applyFont="1"/>
    <xf numFmtId="37" fontId="5" fillId="0" borderId="3" xfId="0" applyNumberFormat="1" applyFont="1" applyBorder="1"/>
    <xf numFmtId="14" fontId="3" fillId="0" borderId="2" xfId="0" applyNumberFormat="1" applyFont="1" applyBorder="1"/>
    <xf numFmtId="37" fontId="3" fillId="0" borderId="0" xfId="0" applyNumberFormat="1" applyFont="1"/>
    <xf numFmtId="37" fontId="3" fillId="0" borderId="1" xfId="0" applyNumberFormat="1" applyFont="1" applyBorder="1"/>
    <xf numFmtId="37" fontId="3" fillId="0" borderId="3" xfId="0" applyNumberFormat="1" applyFont="1" applyBorder="1"/>
    <xf numFmtId="37" fontId="3" fillId="0" borderId="2" xfId="0" applyNumberFormat="1" applyFont="1" applyBorder="1"/>
    <xf numFmtId="9" fontId="3" fillId="0" borderId="0" xfId="2" applyFont="1"/>
    <xf numFmtId="10" fontId="3" fillId="0" borderId="0" xfId="2" applyNumberFormat="1" applyFont="1"/>
    <xf numFmtId="3" fontId="5" fillId="0" borderId="0" xfId="0" applyNumberFormat="1" applyFont="1"/>
    <xf numFmtId="0" fontId="7" fillId="0" borderId="0" xfId="0" applyFont="1"/>
    <xf numFmtId="166" fontId="3" fillId="0" borderId="1" xfId="0" applyNumberFormat="1" applyFont="1" applyBorder="1"/>
    <xf numFmtId="165" fontId="3" fillId="0" borderId="0" xfId="0" applyNumberFormat="1" applyFont="1"/>
    <xf numFmtId="165" fontId="2" fillId="0" borderId="1" xfId="1" applyNumberFormat="1" applyFont="1" applyBorder="1"/>
    <xf numFmtId="166" fontId="3" fillId="0" borderId="0" xfId="0" applyNumberFormat="1" applyFo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6166D-A94A-BD47-86F5-D68029542B32}">
  <dimension ref="B2:G60"/>
  <sheetViews>
    <sheetView tabSelected="1" topLeftCell="A32" workbookViewId="0">
      <selection activeCell="I40" sqref="I40"/>
    </sheetView>
  </sheetViews>
  <sheetFormatPr defaultColWidth="10.81640625" defaultRowHeight="15" x14ac:dyDescent="0.25"/>
  <cols>
    <col min="1" max="1" width="10.81640625" style="2"/>
    <col min="2" max="2" width="11.453125" style="2" bestFit="1" customWidth="1"/>
    <col min="3" max="3" width="58" style="2" customWidth="1"/>
    <col min="4" max="4" width="23.36328125" style="2" customWidth="1"/>
    <col min="5" max="5" width="8.1796875" style="2" bestFit="1" customWidth="1"/>
    <col min="6" max="7" width="12.81640625" style="5" bestFit="1" customWidth="1"/>
    <col min="8" max="16384" width="10.81640625" style="2"/>
  </cols>
  <sheetData>
    <row r="2" spans="2:7" ht="15.6" x14ac:dyDescent="0.3">
      <c r="B2" s="6" t="s">
        <v>44</v>
      </c>
    </row>
    <row r="4" spans="2:7" ht="15.6" x14ac:dyDescent="0.3">
      <c r="B4" s="6" t="s">
        <v>9</v>
      </c>
      <c r="C4" s="1" t="s">
        <v>2</v>
      </c>
      <c r="D4" s="1" t="s">
        <v>6</v>
      </c>
      <c r="E4" s="1" t="s">
        <v>43</v>
      </c>
      <c r="F4" s="3" t="s">
        <v>0</v>
      </c>
      <c r="G4" s="4" t="s">
        <v>1</v>
      </c>
    </row>
    <row r="6" spans="2:7" x14ac:dyDescent="0.25">
      <c r="B6" s="7">
        <v>45658</v>
      </c>
      <c r="C6" s="2" t="s">
        <v>3</v>
      </c>
      <c r="D6" s="2" t="s">
        <v>7</v>
      </c>
      <c r="E6" s="2">
        <v>100</v>
      </c>
      <c r="F6" s="5">
        <v>100000</v>
      </c>
    </row>
    <row r="7" spans="2:7" x14ac:dyDescent="0.25">
      <c r="C7" s="2" t="s">
        <v>5</v>
      </c>
      <c r="D7" s="2" t="s">
        <v>8</v>
      </c>
      <c r="E7" s="2">
        <v>600</v>
      </c>
      <c r="G7" s="5">
        <f>100000*0.01</f>
        <v>1000</v>
      </c>
    </row>
    <row r="8" spans="2:7" x14ac:dyDescent="0.25">
      <c r="D8" s="2" t="s">
        <v>88</v>
      </c>
      <c r="E8" s="2">
        <v>610</v>
      </c>
      <c r="G8" s="5">
        <f>F6-G7</f>
        <v>99000</v>
      </c>
    </row>
    <row r="10" spans="2:7" x14ac:dyDescent="0.25">
      <c r="B10" s="7">
        <v>45689</v>
      </c>
      <c r="C10" s="2" t="s">
        <v>23</v>
      </c>
      <c r="D10" s="2" t="s">
        <v>7</v>
      </c>
      <c r="E10" s="2">
        <v>100</v>
      </c>
      <c r="F10" s="5">
        <v>500000</v>
      </c>
    </row>
    <row r="11" spans="2:7" x14ac:dyDescent="0.25">
      <c r="D11" s="2" t="s">
        <v>11</v>
      </c>
      <c r="E11" s="2">
        <v>450</v>
      </c>
      <c r="G11" s="5">
        <v>500000</v>
      </c>
    </row>
    <row r="13" spans="2:7" x14ac:dyDescent="0.25">
      <c r="B13" s="7">
        <v>45747</v>
      </c>
      <c r="C13" s="2" t="s">
        <v>10</v>
      </c>
      <c r="D13" s="2" t="s">
        <v>7</v>
      </c>
      <c r="E13" s="2">
        <v>100</v>
      </c>
      <c r="F13" s="5">
        <v>1000000</v>
      </c>
    </row>
    <row r="14" spans="2:7" x14ac:dyDescent="0.25">
      <c r="D14" s="2" t="s">
        <v>12</v>
      </c>
      <c r="E14" s="2">
        <v>500</v>
      </c>
      <c r="G14" s="5">
        <v>1000000</v>
      </c>
    </row>
    <row r="16" spans="2:7" x14ac:dyDescent="0.25">
      <c r="B16" s="7">
        <v>45748</v>
      </c>
      <c r="C16" s="2" t="s">
        <v>13</v>
      </c>
      <c r="D16" s="2" t="s">
        <v>14</v>
      </c>
      <c r="E16" s="2">
        <v>300</v>
      </c>
      <c r="F16" s="5">
        <v>9000</v>
      </c>
    </row>
    <row r="17" spans="2:7" x14ac:dyDescent="0.25">
      <c r="D17" s="2" t="s">
        <v>7</v>
      </c>
      <c r="E17" s="2">
        <v>100</v>
      </c>
      <c r="G17" s="5">
        <v>9000</v>
      </c>
    </row>
    <row r="19" spans="2:7" x14ac:dyDescent="0.25">
      <c r="B19" s="7">
        <v>45838</v>
      </c>
      <c r="C19" s="2" t="s">
        <v>15</v>
      </c>
      <c r="D19" s="2" t="s">
        <v>16</v>
      </c>
      <c r="E19" s="2">
        <v>250</v>
      </c>
      <c r="F19" s="5">
        <v>25000</v>
      </c>
    </row>
    <row r="20" spans="2:7" x14ac:dyDescent="0.25">
      <c r="D20" s="2" t="s">
        <v>7</v>
      </c>
      <c r="E20" s="2">
        <v>100</v>
      </c>
      <c r="G20" s="5">
        <v>25000</v>
      </c>
    </row>
    <row r="22" spans="2:7" x14ac:dyDescent="0.25">
      <c r="B22" s="7">
        <v>45504</v>
      </c>
      <c r="C22" s="2" t="s">
        <v>17</v>
      </c>
      <c r="D22" s="2" t="s">
        <v>18</v>
      </c>
      <c r="E22" s="2">
        <v>200</v>
      </c>
      <c r="F22" s="5">
        <v>50000</v>
      </c>
    </row>
    <row r="23" spans="2:7" x14ac:dyDescent="0.25">
      <c r="D23" s="2" t="s">
        <v>19</v>
      </c>
      <c r="E23" s="2">
        <v>700</v>
      </c>
      <c r="G23" s="8">
        <v>50000</v>
      </c>
    </row>
    <row r="25" spans="2:7" x14ac:dyDescent="0.25">
      <c r="B25" s="7">
        <v>45930</v>
      </c>
      <c r="C25" s="2" t="s">
        <v>20</v>
      </c>
      <c r="D25" s="9" t="s">
        <v>18</v>
      </c>
      <c r="E25" s="9">
        <v>200</v>
      </c>
      <c r="F25" s="8">
        <v>80000</v>
      </c>
      <c r="G25" s="8"/>
    </row>
    <row r="26" spans="2:7" x14ac:dyDescent="0.25">
      <c r="D26" s="9" t="s">
        <v>19</v>
      </c>
      <c r="E26" s="9">
        <v>700</v>
      </c>
      <c r="F26" s="8"/>
      <c r="G26" s="8">
        <v>80000</v>
      </c>
    </row>
    <row r="28" spans="2:7" x14ac:dyDescent="0.25">
      <c r="B28" s="7">
        <v>45930</v>
      </c>
      <c r="C28" s="2" t="s">
        <v>21</v>
      </c>
      <c r="D28" s="2" t="s">
        <v>22</v>
      </c>
      <c r="E28" s="2">
        <v>900</v>
      </c>
      <c r="F28" s="5">
        <f>1000000*0.05*0.5</f>
        <v>25000</v>
      </c>
    </row>
    <row r="29" spans="2:7" x14ac:dyDescent="0.25">
      <c r="D29" s="2" t="s">
        <v>7</v>
      </c>
      <c r="E29" s="2">
        <v>100</v>
      </c>
      <c r="G29" s="5">
        <f>F28</f>
        <v>25000</v>
      </c>
    </row>
    <row r="31" spans="2:7" x14ac:dyDescent="0.25">
      <c r="B31" s="7">
        <v>45930</v>
      </c>
      <c r="C31" s="2" t="s">
        <v>28</v>
      </c>
      <c r="D31" s="2" t="s">
        <v>7</v>
      </c>
      <c r="E31" s="2">
        <v>100</v>
      </c>
      <c r="F31" s="5">
        <v>50000</v>
      </c>
    </row>
    <row r="32" spans="2:7" x14ac:dyDescent="0.25">
      <c r="D32" s="2" t="s">
        <v>18</v>
      </c>
      <c r="E32" s="2">
        <v>200</v>
      </c>
      <c r="G32" s="5">
        <v>50000</v>
      </c>
    </row>
    <row r="34" spans="2:7" x14ac:dyDescent="0.25">
      <c r="B34" s="7">
        <v>45991</v>
      </c>
      <c r="C34" s="2" t="s">
        <v>24</v>
      </c>
      <c r="D34" s="2" t="s">
        <v>7</v>
      </c>
      <c r="E34" s="2">
        <v>100</v>
      </c>
      <c r="F34" s="5">
        <v>3000000</v>
      </c>
    </row>
    <row r="35" spans="2:7" x14ac:dyDescent="0.25">
      <c r="D35" s="2" t="s">
        <v>25</v>
      </c>
      <c r="E35" s="2">
        <v>650</v>
      </c>
      <c r="G35" s="8">
        <v>3000000</v>
      </c>
    </row>
    <row r="37" spans="2:7" x14ac:dyDescent="0.25">
      <c r="B37" s="7">
        <v>45991</v>
      </c>
      <c r="C37" s="2" t="s">
        <v>42</v>
      </c>
      <c r="D37" s="9" t="s">
        <v>11</v>
      </c>
      <c r="E37" s="2">
        <v>450</v>
      </c>
      <c r="F37" s="5">
        <v>500000</v>
      </c>
    </row>
    <row r="38" spans="2:7" x14ac:dyDescent="0.25">
      <c r="D38" s="9" t="s">
        <v>25</v>
      </c>
      <c r="E38" s="2">
        <v>650</v>
      </c>
      <c r="G38" s="5">
        <v>500000</v>
      </c>
    </row>
    <row r="40" spans="2:7" x14ac:dyDescent="0.25">
      <c r="B40" s="2" t="s">
        <v>84</v>
      </c>
      <c r="C40" s="9" t="s">
        <v>29</v>
      </c>
      <c r="D40" s="9" t="s">
        <v>7</v>
      </c>
      <c r="E40" s="9">
        <v>100</v>
      </c>
      <c r="F40" s="8">
        <v>80000</v>
      </c>
      <c r="G40" s="8"/>
    </row>
    <row r="41" spans="2:7" x14ac:dyDescent="0.25">
      <c r="C41" s="9"/>
      <c r="D41" s="9" t="s">
        <v>18</v>
      </c>
      <c r="E41" s="9">
        <v>200</v>
      </c>
      <c r="F41" s="8"/>
      <c r="G41" s="8">
        <v>80000</v>
      </c>
    </row>
    <row r="43" spans="2:7" x14ac:dyDescent="0.25">
      <c r="B43" s="7">
        <v>46022</v>
      </c>
      <c r="C43" s="2" t="s">
        <v>26</v>
      </c>
      <c r="D43" s="2" t="s">
        <v>27</v>
      </c>
      <c r="E43" s="2">
        <v>200</v>
      </c>
      <c r="F43" s="5">
        <v>120000</v>
      </c>
    </row>
    <row r="44" spans="2:7" x14ac:dyDescent="0.25">
      <c r="D44" s="2" t="s">
        <v>19</v>
      </c>
      <c r="E44" s="2">
        <v>700</v>
      </c>
      <c r="G44" s="5">
        <v>120000</v>
      </c>
    </row>
    <row r="46" spans="2:7" x14ac:dyDescent="0.25">
      <c r="B46" s="7">
        <v>46022</v>
      </c>
      <c r="C46" s="2" t="s">
        <v>30</v>
      </c>
      <c r="D46" s="2" t="s">
        <v>31</v>
      </c>
      <c r="E46" s="2">
        <v>810</v>
      </c>
      <c r="F46" s="5">
        <f>30000*12</f>
        <v>360000</v>
      </c>
    </row>
    <row r="47" spans="2:7" x14ac:dyDescent="0.25">
      <c r="D47" s="2" t="s">
        <v>7</v>
      </c>
      <c r="E47" s="2">
        <v>100</v>
      </c>
      <c r="G47" s="5">
        <f>30000*11</f>
        <v>330000</v>
      </c>
    </row>
    <row r="48" spans="2:7" x14ac:dyDescent="0.25">
      <c r="D48" s="2" t="s">
        <v>32</v>
      </c>
      <c r="E48" s="2">
        <v>410</v>
      </c>
      <c r="G48" s="5">
        <v>30000</v>
      </c>
    </row>
    <row r="50" spans="2:7" x14ac:dyDescent="0.25">
      <c r="B50" s="7">
        <v>46022</v>
      </c>
      <c r="C50" s="2" t="s">
        <v>33</v>
      </c>
      <c r="D50" s="2" t="s">
        <v>34</v>
      </c>
      <c r="E50" s="2">
        <v>820</v>
      </c>
      <c r="F50" s="5">
        <f>5000*12</f>
        <v>60000</v>
      </c>
    </row>
    <row r="51" spans="2:7" x14ac:dyDescent="0.25">
      <c r="D51" s="2" t="s">
        <v>7</v>
      </c>
      <c r="E51" s="2">
        <v>100</v>
      </c>
      <c r="G51" s="5">
        <f>F50</f>
        <v>60000</v>
      </c>
    </row>
    <row r="53" spans="2:7" x14ac:dyDescent="0.25">
      <c r="B53" s="7">
        <v>46022</v>
      </c>
      <c r="C53" s="2" t="s">
        <v>35</v>
      </c>
      <c r="D53" s="2" t="s">
        <v>36</v>
      </c>
      <c r="E53" s="2">
        <v>830</v>
      </c>
      <c r="F53" s="5">
        <f>9000/3*(9/12)</f>
        <v>2250</v>
      </c>
    </row>
    <row r="54" spans="2:7" x14ac:dyDescent="0.25">
      <c r="D54" s="2" t="s">
        <v>37</v>
      </c>
      <c r="E54" s="2">
        <v>310</v>
      </c>
      <c r="G54" s="5">
        <f>F53</f>
        <v>2250</v>
      </c>
    </row>
    <row r="56" spans="2:7" x14ac:dyDescent="0.25">
      <c r="B56" s="7">
        <v>46022</v>
      </c>
      <c r="C56" s="9" t="s">
        <v>38</v>
      </c>
      <c r="D56" s="2" t="s">
        <v>39</v>
      </c>
      <c r="E56" s="2">
        <v>900</v>
      </c>
      <c r="F56" s="8">
        <f>1000000*0.05*(3/12)</f>
        <v>12500</v>
      </c>
    </row>
    <row r="57" spans="2:7" x14ac:dyDescent="0.25">
      <c r="D57" s="2" t="s">
        <v>40</v>
      </c>
      <c r="E57" s="2">
        <v>430</v>
      </c>
      <c r="G57" s="5">
        <f>F56</f>
        <v>12500</v>
      </c>
    </row>
    <row r="60" spans="2:7" ht="15.6" x14ac:dyDescent="0.3">
      <c r="D60" s="6" t="s">
        <v>41</v>
      </c>
      <c r="E60" s="10" t="b">
        <f>SUM(F6:F58)=SUM(G6:G58)</f>
        <v>1</v>
      </c>
    </row>
  </sheetData>
  <conditionalFormatting sqref="E60">
    <cfRule type="containsText" dxfId="5" priority="1" operator="containsText" text="TRUE">
      <formula>NOT(ISERROR(SEARCH("TRUE",E60)))</formula>
    </cfRule>
    <cfRule type="containsText" dxfId="4" priority="2" operator="containsText" text="FALSE">
      <formula>NOT(ISERROR(SEARCH("FALSE",E60)))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28848-E93F-8345-9DA4-D0986DD72DAD}">
  <dimension ref="C2:K53"/>
  <sheetViews>
    <sheetView topLeftCell="A9" workbookViewId="0">
      <selection activeCell="K11" sqref="K11"/>
    </sheetView>
  </sheetViews>
  <sheetFormatPr defaultColWidth="10.81640625" defaultRowHeight="15" x14ac:dyDescent="0.25"/>
  <cols>
    <col min="1" max="4" width="10.81640625" style="2"/>
    <col min="5" max="5" width="10.81640625" style="2" customWidth="1"/>
    <col min="6" max="6" width="5.1796875" style="2" customWidth="1"/>
    <col min="7" max="9" width="10.81640625" style="2" customWidth="1"/>
    <col min="10" max="10" width="10.81640625" style="2"/>
    <col min="11" max="11" width="11.453125" style="2" bestFit="1" customWidth="1"/>
    <col min="12" max="16384" width="10.81640625" style="2"/>
  </cols>
  <sheetData>
    <row r="2" spans="4:11" ht="15.6" x14ac:dyDescent="0.3">
      <c r="F2" s="32" t="s">
        <v>44</v>
      </c>
      <c r="G2" s="32"/>
      <c r="H2" s="32"/>
      <c r="I2" s="32"/>
      <c r="J2" s="32"/>
      <c r="K2" s="32"/>
    </row>
    <row r="3" spans="4:11" ht="15.6" x14ac:dyDescent="0.3">
      <c r="F3" s="32" t="s">
        <v>45</v>
      </c>
      <c r="G3" s="32"/>
      <c r="H3" s="32"/>
      <c r="I3" s="32"/>
      <c r="J3" s="32"/>
      <c r="K3" s="32"/>
    </row>
    <row r="4" spans="4:11" ht="16.2" thickBot="1" x14ac:dyDescent="0.35">
      <c r="F4" s="33" t="s">
        <v>85</v>
      </c>
      <c r="G4" s="33"/>
      <c r="H4" s="33"/>
      <c r="I4" s="33"/>
      <c r="J4" s="33"/>
      <c r="K4" s="33"/>
    </row>
    <row r="6" spans="4:11" ht="15.6" thickBot="1" x14ac:dyDescent="0.3">
      <c r="K6" s="18">
        <v>46022</v>
      </c>
    </row>
    <row r="7" spans="4:11" ht="15.6" x14ac:dyDescent="0.3">
      <c r="F7" s="6" t="s">
        <v>54</v>
      </c>
    </row>
    <row r="9" spans="4:11" x14ac:dyDescent="0.25">
      <c r="D9" s="9"/>
      <c r="E9" s="9">
        <v>100</v>
      </c>
      <c r="F9" s="9" t="s">
        <v>7</v>
      </c>
      <c r="G9" s="9"/>
      <c r="H9" s="9"/>
      <c r="I9" s="9"/>
      <c r="K9" s="19">
        <f ca="1">SUMIF('Question 1 - a'!$E$6:$E$59,'Question 1 - b'!E9,'Question 1 - a'!$F$6:$F$9)-SUMIF('Question 1 - a'!$E$6:$E$59,'Question 1 - b'!E9,'Question 1 - a'!$G$6:$G$9)</f>
        <v>4281000</v>
      </c>
    </row>
    <row r="10" spans="4:11" x14ac:dyDescent="0.25">
      <c r="D10" s="9"/>
      <c r="E10" s="9">
        <v>200</v>
      </c>
      <c r="F10" s="9" t="s">
        <v>18</v>
      </c>
      <c r="G10" s="9"/>
      <c r="H10" s="9"/>
      <c r="I10" s="9"/>
      <c r="K10" s="19">
        <f ca="1">SUMIF('Question 1 - a'!$E$6:$E$59,'Question 1 - b'!E10,'Question 1 - a'!$F$6:$F$9)-SUMIF('Question 1 - a'!$E$6:$E$59,'Question 1 - b'!E10,'Question 1 - a'!$G$6:$G$9)</f>
        <v>120000</v>
      </c>
    </row>
    <row r="11" spans="4:11" x14ac:dyDescent="0.25">
      <c r="D11" s="9"/>
      <c r="E11" s="9">
        <v>250</v>
      </c>
      <c r="F11" s="9" t="s">
        <v>16</v>
      </c>
      <c r="G11" s="9"/>
      <c r="H11" s="9"/>
      <c r="I11" s="9"/>
      <c r="K11" s="20">
        <f ca="1">SUMIF('Question 1 - a'!$E$6:$E$59,'Question 1 - b'!E11,'Question 1 - a'!$F$6:$F$9)-SUMIF('Question 1 - a'!$E$6:$E$59,'Question 1 - b'!E11,'Question 1 - a'!$G$6:$G$9)</f>
        <v>25000</v>
      </c>
    </row>
    <row r="12" spans="4:11" x14ac:dyDescent="0.25">
      <c r="G12" s="2" t="s">
        <v>48</v>
      </c>
      <c r="K12" s="19">
        <f ca="1">SUM(K9:K11)</f>
        <v>4426000</v>
      </c>
    </row>
    <row r="13" spans="4:11" x14ac:dyDescent="0.25">
      <c r="K13" s="19"/>
    </row>
    <row r="14" spans="4:11" x14ac:dyDescent="0.25">
      <c r="E14" s="9">
        <v>300</v>
      </c>
      <c r="F14" s="2" t="s">
        <v>46</v>
      </c>
      <c r="K14" s="19">
        <f ca="1">SUMIF('Question 1 - a'!$E$6:$E$59,'Question 1 - b'!E14,'Question 1 - a'!$F$6:$F$9)-SUMIF('Question 1 - a'!$E$6:$E$59,'Question 1 - b'!E14,'Question 1 - a'!$G$6:$G$9)</f>
        <v>9000</v>
      </c>
    </row>
    <row r="15" spans="4:11" x14ac:dyDescent="0.25">
      <c r="E15" s="9">
        <v>310</v>
      </c>
      <c r="F15" s="2" t="s">
        <v>37</v>
      </c>
      <c r="K15" s="20">
        <f ca="1">SUMIF('Question 1 - a'!$E$6:$E$59,'Question 1 - b'!E15,'Question 1 - a'!$F$6:$F$9)-SUMIF('Question 1 - a'!$E$6:$E$59,'Question 1 - b'!E15,'Question 1 - a'!$G$6:$G$9)</f>
        <v>-2250</v>
      </c>
    </row>
    <row r="16" spans="4:11" x14ac:dyDescent="0.25">
      <c r="G16" s="2" t="s">
        <v>47</v>
      </c>
      <c r="K16" s="19">
        <f ca="1">SUM(K14:K15)</f>
        <v>6750</v>
      </c>
    </row>
    <row r="17" spans="5:11" x14ac:dyDescent="0.25">
      <c r="K17" s="19"/>
    </row>
    <row r="18" spans="5:11" ht="15.6" thickBot="1" x14ac:dyDescent="0.3">
      <c r="G18" s="2" t="s">
        <v>49</v>
      </c>
      <c r="K18" s="21">
        <f ca="1">K12+K16</f>
        <v>4432750</v>
      </c>
    </row>
    <row r="19" spans="5:11" ht="15.6" thickTop="1" x14ac:dyDescent="0.25">
      <c r="K19" s="19"/>
    </row>
    <row r="20" spans="5:11" ht="15.6" x14ac:dyDescent="0.3">
      <c r="F20" s="6" t="s">
        <v>55</v>
      </c>
      <c r="K20" s="19"/>
    </row>
    <row r="21" spans="5:11" x14ac:dyDescent="0.25">
      <c r="K21" s="19"/>
    </row>
    <row r="22" spans="5:11" x14ac:dyDescent="0.25">
      <c r="E22" s="2">
        <v>410</v>
      </c>
      <c r="F22" s="2" t="s">
        <v>50</v>
      </c>
      <c r="K22" s="19">
        <f ca="1">-1*(SUMIF('Question 1 - a'!$E$6:$E$59,'Question 1 - b'!E22,'Question 1 - a'!$F$6:$F$9)-SUMIF('Question 1 - a'!$E$6:$E$59,'Question 1 - b'!E22,'Question 1 - a'!$G$6:$G$9))</f>
        <v>30000</v>
      </c>
    </row>
    <row r="23" spans="5:11" x14ac:dyDescent="0.25">
      <c r="E23" s="2">
        <v>430</v>
      </c>
      <c r="F23" s="2" t="s">
        <v>51</v>
      </c>
      <c r="K23" s="19">
        <f ca="1">-1*(SUMIF('Question 1 - a'!$E$6:$E$59,'Question 1 - b'!E23,'Question 1 - a'!$F$6:$F$9)-SUMIF('Question 1 - a'!$E$6:$E$59,'Question 1 - b'!E23,'Question 1 - a'!$G$6:$G$9))</f>
        <v>12500</v>
      </c>
    </row>
    <row r="24" spans="5:11" x14ac:dyDescent="0.25">
      <c r="E24" s="2">
        <v>450</v>
      </c>
      <c r="F24" s="9" t="s">
        <v>4</v>
      </c>
      <c r="K24" s="20">
        <f ca="1">-1*(SUMIF('Question 1 - a'!$E$6:$E$59,'Question 1 - b'!E24,'Question 1 - a'!$F$6:$F$9)-SUMIF('Question 1 - a'!$E$6:$E$59,'Question 1 - b'!E24,'Question 1 - a'!$G$6:$G$9))</f>
        <v>0</v>
      </c>
    </row>
    <row r="25" spans="5:11" x14ac:dyDescent="0.25">
      <c r="G25" s="2" t="s">
        <v>52</v>
      </c>
      <c r="K25" s="19">
        <f ca="1">SUM(K22:K24)</f>
        <v>42500</v>
      </c>
    </row>
    <row r="26" spans="5:11" x14ac:dyDescent="0.25">
      <c r="K26" s="19"/>
    </row>
    <row r="27" spans="5:11" x14ac:dyDescent="0.25">
      <c r="E27" s="2">
        <v>500</v>
      </c>
      <c r="F27" s="2" t="s">
        <v>10</v>
      </c>
      <c r="K27" s="20">
        <f ca="1">-1*(SUMIF('Question 1 - a'!$E$6:$E$59,'Question 1 - b'!E27,'Question 1 - a'!$F$6:$F$9)-SUMIF('Question 1 - a'!$E$6:$E$59,'Question 1 - b'!E27,'Question 1 - a'!$G$6:$G$9))</f>
        <v>1000000</v>
      </c>
    </row>
    <row r="28" spans="5:11" x14ac:dyDescent="0.25">
      <c r="G28" s="2" t="s">
        <v>53</v>
      </c>
      <c r="K28" s="19">
        <f ca="1">SUM(K27)</f>
        <v>1000000</v>
      </c>
    </row>
    <row r="29" spans="5:11" x14ac:dyDescent="0.25">
      <c r="K29" s="19"/>
    </row>
    <row r="30" spans="5:11" ht="15.6" thickBot="1" x14ac:dyDescent="0.3">
      <c r="G30" s="2" t="s">
        <v>56</v>
      </c>
      <c r="K30" s="22">
        <f ca="1">K25+K28</f>
        <v>1042500</v>
      </c>
    </row>
    <row r="31" spans="5:11" x14ac:dyDescent="0.25">
      <c r="K31" s="19"/>
    </row>
    <row r="32" spans="5:11" x14ac:dyDescent="0.25">
      <c r="K32" s="19"/>
    </row>
    <row r="33" spans="3:11" x14ac:dyDescent="0.25">
      <c r="F33" s="2" t="str">
        <f>"Common Stock - "&amp;'Question 1 - d'!E13</f>
        <v>Common Stock - 100000</v>
      </c>
      <c r="K33" s="19"/>
    </row>
    <row r="34" spans="3:11" ht="15.6" x14ac:dyDescent="0.3">
      <c r="C34" s="10"/>
      <c r="E34" s="2">
        <v>600</v>
      </c>
      <c r="F34" s="2" t="s">
        <v>86</v>
      </c>
      <c r="K34" s="19">
        <f ca="1">-1*(SUMIF('Question 1 - a'!$E$6:$E$59,'Question 1 - b'!E34,'Question 1 - a'!$F$6:$F$9)-SUMIF('Question 1 - a'!$E$6:$E$59,'Question 1 - b'!E34,'Question 1 - a'!$G$6:$G$9))</f>
        <v>1000</v>
      </c>
    </row>
    <row r="35" spans="3:11" ht="15.6" x14ac:dyDescent="0.3">
      <c r="C35" s="10"/>
      <c r="E35" s="2">
        <v>610</v>
      </c>
      <c r="F35" s="2" t="s">
        <v>87</v>
      </c>
      <c r="K35" s="19">
        <f ca="1">-1*(SUMIF('Question 1 - a'!$E$6:$E$59,'Question 1 - b'!E35,'Question 1 - a'!$F$6:$F$9)-SUMIF('Question 1 - a'!$E$6:$E$59,'Question 1 - b'!E35,'Question 1 - a'!$G$6:$G$9))</f>
        <v>99000</v>
      </c>
    </row>
    <row r="36" spans="3:11" x14ac:dyDescent="0.25">
      <c r="K36" s="19"/>
    </row>
    <row r="37" spans="3:11" x14ac:dyDescent="0.25">
      <c r="F37" s="9" t="str">
        <f>"Preferred A Stock - "&amp;'Question 1 - d'!F13</f>
        <v>Preferred A Stock - 47500</v>
      </c>
      <c r="K37" s="19"/>
    </row>
    <row r="38" spans="3:11" x14ac:dyDescent="0.25">
      <c r="E38" s="2">
        <v>650</v>
      </c>
      <c r="F38" s="9" t="s">
        <v>57</v>
      </c>
      <c r="K38" s="19">
        <f ca="1">-1*(SUMIF('Question 1 - a'!$E$6:$E$59,'Question 1 - b'!E38,'Question 1 - a'!$F$6:$F$9)-SUMIF('Question 1 - a'!$E$6:$E$59,'Question 1 - b'!E38,'Question 1 - a'!$G$6:$G$9))</f>
        <v>3500000</v>
      </c>
    </row>
    <row r="39" spans="3:11" x14ac:dyDescent="0.25">
      <c r="K39" s="19"/>
    </row>
    <row r="40" spans="3:11" x14ac:dyDescent="0.25">
      <c r="F40" s="2" t="s">
        <v>89</v>
      </c>
      <c r="K40" s="20">
        <f ca="1">'Question 1 - c'!J20</f>
        <v>-209750</v>
      </c>
    </row>
    <row r="41" spans="3:11" x14ac:dyDescent="0.25">
      <c r="K41" s="19"/>
    </row>
    <row r="42" spans="3:11" ht="15.6" thickBot="1" x14ac:dyDescent="0.3">
      <c r="G42" s="2" t="s">
        <v>58</v>
      </c>
      <c r="K42" s="22">
        <f ca="1">K34+K35+K38+K40</f>
        <v>3390250</v>
      </c>
    </row>
    <row r="43" spans="3:11" x14ac:dyDescent="0.25">
      <c r="K43" s="19"/>
    </row>
    <row r="44" spans="3:11" ht="15.6" thickBot="1" x14ac:dyDescent="0.3">
      <c r="G44" s="2" t="s">
        <v>59</v>
      </c>
      <c r="K44" s="21">
        <f ca="1">K30+K42</f>
        <v>4432750</v>
      </c>
    </row>
    <row r="45" spans="3:11" ht="15.6" thickTop="1" x14ac:dyDescent="0.25">
      <c r="K45" s="19"/>
    </row>
    <row r="46" spans="3:11" ht="15.6" x14ac:dyDescent="0.3">
      <c r="J46" s="12" t="s">
        <v>41</v>
      </c>
      <c r="K46" s="10" t="b">
        <f ca="1">K18=K44</f>
        <v>1</v>
      </c>
    </row>
    <row r="47" spans="3:11" x14ac:dyDescent="0.25">
      <c r="K47" s="19"/>
    </row>
    <row r="48" spans="3:11" x14ac:dyDescent="0.25">
      <c r="K48" s="19"/>
    </row>
    <row r="49" spans="11:11" x14ac:dyDescent="0.25">
      <c r="K49" s="19"/>
    </row>
    <row r="50" spans="11:11" x14ac:dyDescent="0.25">
      <c r="K50" s="19"/>
    </row>
    <row r="51" spans="11:11" x14ac:dyDescent="0.25">
      <c r="K51" s="19"/>
    </row>
    <row r="52" spans="11:11" x14ac:dyDescent="0.25">
      <c r="K52" s="19"/>
    </row>
    <row r="53" spans="11:11" x14ac:dyDescent="0.25">
      <c r="K53" s="19"/>
    </row>
  </sheetData>
  <mergeCells count="3">
    <mergeCell ref="F2:K2"/>
    <mergeCell ref="F3:K3"/>
    <mergeCell ref="F4:K4"/>
  </mergeCells>
  <conditionalFormatting sqref="C34:C35">
    <cfRule type="containsText" dxfId="3" priority="1" operator="containsText" text="TRUE">
      <formula>NOT(ISERROR(SEARCH("TRUE",C34)))</formula>
    </cfRule>
    <cfRule type="containsText" dxfId="2" priority="2" operator="containsText" text="FALSE">
      <formula>NOT(ISERROR(SEARCH("FALSE",C34)))</formula>
    </cfRule>
  </conditionalFormatting>
  <conditionalFormatting sqref="K46">
    <cfRule type="containsText" dxfId="1" priority="3" operator="containsText" text="TRUE">
      <formula>NOT(ISERROR(SEARCH("TRUE",K46)))</formula>
    </cfRule>
    <cfRule type="containsText" dxfId="0" priority="4" operator="containsText" text="FALSE">
      <formula>NOT(ISERROR(SEARCH("FALSE",K46)))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29E04-8EED-E44E-9FF5-BB243321A084}">
  <dimension ref="E2:J21"/>
  <sheetViews>
    <sheetView workbookViewId="0">
      <selection activeCell="F21" sqref="F21"/>
    </sheetView>
  </sheetViews>
  <sheetFormatPr defaultColWidth="10.81640625" defaultRowHeight="15" x14ac:dyDescent="0.25"/>
  <cols>
    <col min="1" max="5" width="10.81640625" style="2"/>
    <col min="6" max="6" width="3.36328125" style="2" customWidth="1"/>
    <col min="7" max="7" width="3.453125" style="2" customWidth="1"/>
    <col min="8" max="16384" width="10.81640625" style="2"/>
  </cols>
  <sheetData>
    <row r="2" spans="5:10" ht="15.6" x14ac:dyDescent="0.3">
      <c r="F2" s="34" t="s">
        <v>44</v>
      </c>
      <c r="G2" s="34"/>
      <c r="H2" s="34"/>
      <c r="I2" s="34"/>
      <c r="J2" s="34"/>
    </row>
    <row r="3" spans="5:10" ht="15.6" x14ac:dyDescent="0.3">
      <c r="F3" s="34" t="s">
        <v>60</v>
      </c>
      <c r="G3" s="34"/>
      <c r="H3" s="34"/>
      <c r="I3" s="34"/>
      <c r="J3" s="34"/>
    </row>
    <row r="4" spans="5:10" ht="16.2" thickBot="1" x14ac:dyDescent="0.35">
      <c r="F4" s="35" t="s">
        <v>90</v>
      </c>
      <c r="G4" s="35"/>
      <c r="H4" s="35"/>
      <c r="I4" s="35"/>
      <c r="J4" s="35"/>
    </row>
    <row r="6" spans="5:10" ht="15.6" thickBot="1" x14ac:dyDescent="0.3">
      <c r="J6" s="14">
        <v>2025</v>
      </c>
    </row>
    <row r="7" spans="5:10" x14ac:dyDescent="0.25">
      <c r="J7" s="11"/>
    </row>
    <row r="8" spans="5:10" x14ac:dyDescent="0.25">
      <c r="E8" s="2">
        <v>700</v>
      </c>
      <c r="F8" s="2" t="s">
        <v>19</v>
      </c>
      <c r="J8" s="15">
        <f ca="1">-1*(SUMIF('Question 1 - a'!$E$6:$E$59,'Question 1 - c'!E8,'Question 1 - a'!$F$6:$F$9)-SUMIF('Question 1 - a'!$E$6:$E$59,'Question 1 - c'!E8,'Question 1 - a'!$G$6:$G$9))</f>
        <v>250000</v>
      </c>
    </row>
    <row r="9" spans="5:10" x14ac:dyDescent="0.25">
      <c r="J9" s="16"/>
    </row>
    <row r="10" spans="5:10" x14ac:dyDescent="0.25">
      <c r="F10" s="2" t="s">
        <v>61</v>
      </c>
      <c r="J10" s="16"/>
    </row>
    <row r="11" spans="5:10" x14ac:dyDescent="0.25">
      <c r="E11" s="2">
        <v>810</v>
      </c>
      <c r="G11" s="2" t="s">
        <v>62</v>
      </c>
      <c r="J11" s="16">
        <f ca="1">-1*(SUMIF('Question 1 - a'!$E$6:$E$59,'Question 1 - c'!E11,'Question 1 - a'!$F$6:$F$9)-SUMIF('Question 1 - a'!$E$6:$E$59,'Question 1 - c'!E11,'Question 1 - a'!$G$6:$G$9))</f>
        <v>-360000</v>
      </c>
    </row>
    <row r="12" spans="5:10" x14ac:dyDescent="0.25">
      <c r="E12" s="2">
        <v>820</v>
      </c>
      <c r="G12" s="2" t="s">
        <v>63</v>
      </c>
      <c r="J12" s="16">
        <f ca="1">-1*(SUMIF('Question 1 - a'!$E$6:$E$59,'Question 1 - c'!E12,'Question 1 - a'!$F$6:$F$9)-SUMIF('Question 1 - a'!$E$6:$E$59,'Question 1 - c'!E12,'Question 1 - a'!$G$6:$G$9))</f>
        <v>-60000</v>
      </c>
    </row>
    <row r="13" spans="5:10" x14ac:dyDescent="0.25">
      <c r="E13" s="2">
        <v>830</v>
      </c>
      <c r="G13" s="2" t="s">
        <v>64</v>
      </c>
      <c r="J13" s="15">
        <f ca="1">-1*(SUMIF('Question 1 - a'!$E$6:$E$59,'Question 1 - c'!E13,'Question 1 - a'!$F$6:$F$9)-SUMIF('Question 1 - a'!$E$6:$E$59,'Question 1 - c'!E13,'Question 1 - a'!$G$6:$G$9))</f>
        <v>-2250</v>
      </c>
    </row>
    <row r="14" spans="5:10" x14ac:dyDescent="0.25">
      <c r="J14" s="16">
        <f ca="1">SUM(J11:J13)</f>
        <v>-422250</v>
      </c>
    </row>
    <row r="15" spans="5:10" x14ac:dyDescent="0.25">
      <c r="J15" s="16"/>
    </row>
    <row r="16" spans="5:10" x14ac:dyDescent="0.25">
      <c r="F16" s="2" t="s">
        <v>91</v>
      </c>
      <c r="J16" s="15">
        <f ca="1">J8+J14</f>
        <v>-172250</v>
      </c>
    </row>
    <row r="17" spans="5:10" x14ac:dyDescent="0.25">
      <c r="J17" s="16"/>
    </row>
    <row r="18" spans="5:10" x14ac:dyDescent="0.25">
      <c r="E18" s="2">
        <v>900</v>
      </c>
      <c r="F18" s="2" t="s">
        <v>22</v>
      </c>
      <c r="J18" s="15">
        <f ca="1">-1*(SUMIF('Question 1 - a'!$E$6:$E$59,'Question 1 - c'!E18,'Question 1 - a'!$F$6:$F$9)-SUMIF('Question 1 - a'!$E$6:$E$59,'Question 1 - c'!E18,'Question 1 - a'!$G$6:$G$9))</f>
        <v>-37500</v>
      </c>
    </row>
    <row r="19" spans="5:10" x14ac:dyDescent="0.25">
      <c r="J19" s="16"/>
    </row>
    <row r="20" spans="5:10" ht="15.6" thickBot="1" x14ac:dyDescent="0.3">
      <c r="F20" s="2" t="s">
        <v>92</v>
      </c>
      <c r="J20" s="17">
        <f ca="1">J16+J18</f>
        <v>-209750</v>
      </c>
    </row>
    <row r="21" spans="5:10" ht="15.6" thickTop="1" x14ac:dyDescent="0.25"/>
  </sheetData>
  <mergeCells count="3">
    <mergeCell ref="F2:J2"/>
    <mergeCell ref="F3:J3"/>
    <mergeCell ref="F4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9E9D2-0DA1-F049-A64A-00ADD64CAC8C}">
  <dimension ref="C3:I39"/>
  <sheetViews>
    <sheetView topLeftCell="A19" workbookViewId="0">
      <selection activeCell="H35" sqref="H35"/>
    </sheetView>
  </sheetViews>
  <sheetFormatPr defaultColWidth="10.81640625" defaultRowHeight="15" x14ac:dyDescent="0.25"/>
  <cols>
    <col min="1" max="5" width="10.81640625" style="2"/>
    <col min="6" max="7" width="12.81640625" style="2" customWidth="1"/>
    <col min="8" max="8" width="3" style="2" customWidth="1"/>
    <col min="9" max="16384" width="10.81640625" style="2"/>
  </cols>
  <sheetData>
    <row r="3" spans="3:9" ht="15.6" x14ac:dyDescent="0.3">
      <c r="C3" s="31" t="s">
        <v>93</v>
      </c>
    </row>
    <row r="5" spans="3:9" x14ac:dyDescent="0.25">
      <c r="E5" s="2" t="s">
        <v>65</v>
      </c>
      <c r="F5" s="2" t="s">
        <v>66</v>
      </c>
      <c r="G5" s="2" t="s">
        <v>73</v>
      </c>
      <c r="I5" s="2" t="s">
        <v>70</v>
      </c>
    </row>
    <row r="7" spans="3:9" x14ac:dyDescent="0.25">
      <c r="C7" s="2" t="s">
        <v>67</v>
      </c>
      <c r="E7" s="13">
        <v>100000</v>
      </c>
      <c r="G7" s="13">
        <f>SUM(E7:F7)</f>
        <v>100000</v>
      </c>
      <c r="I7" s="24">
        <f>G7/$G$13</f>
        <v>0.67796610169491522</v>
      </c>
    </row>
    <row r="8" spans="3:9" x14ac:dyDescent="0.25">
      <c r="G8" s="13"/>
      <c r="I8" s="24"/>
    </row>
    <row r="9" spans="3:9" x14ac:dyDescent="0.25">
      <c r="C9" s="2" t="s">
        <v>68</v>
      </c>
      <c r="F9" s="28">
        <f>F39</f>
        <v>10000</v>
      </c>
      <c r="G9" s="13">
        <f t="shared" ref="G9:G11" si="0">SUM(E9:F9)</f>
        <v>10000</v>
      </c>
      <c r="I9" s="24">
        <f t="shared" ref="I9:I13" si="1">G9/$G$13</f>
        <v>6.7796610169491525E-2</v>
      </c>
    </row>
    <row r="10" spans="3:9" x14ac:dyDescent="0.25">
      <c r="G10" s="13"/>
      <c r="I10" s="24"/>
    </row>
    <row r="11" spans="3:9" x14ac:dyDescent="0.25">
      <c r="C11" s="2" t="s">
        <v>69</v>
      </c>
      <c r="F11" s="13">
        <f>F25</f>
        <v>37500</v>
      </c>
      <c r="G11" s="13">
        <f t="shared" si="0"/>
        <v>37500</v>
      </c>
      <c r="I11" s="24">
        <f t="shared" si="1"/>
        <v>0.25423728813559321</v>
      </c>
    </row>
    <row r="12" spans="3:9" x14ac:dyDescent="0.25">
      <c r="I12" s="24"/>
    </row>
    <row r="13" spans="3:9" x14ac:dyDescent="0.25">
      <c r="C13" s="2" t="s">
        <v>73</v>
      </c>
      <c r="E13" s="13">
        <f t="shared" ref="E13:F13" si="2">SUM(E7:E11)</f>
        <v>100000</v>
      </c>
      <c r="F13" s="13">
        <f t="shared" si="2"/>
        <v>47500</v>
      </c>
      <c r="G13" s="13">
        <f>SUM(G7:G11)</f>
        <v>147500</v>
      </c>
      <c r="I13" s="24">
        <f t="shared" si="1"/>
        <v>1</v>
      </c>
    </row>
    <row r="16" spans="3:9" x14ac:dyDescent="0.25">
      <c r="E16" s="13"/>
    </row>
    <row r="17" spans="3:6" x14ac:dyDescent="0.25">
      <c r="C17" s="26" t="s">
        <v>74</v>
      </c>
      <c r="E17" s="23"/>
    </row>
    <row r="19" spans="3:6" x14ac:dyDescent="0.25">
      <c r="C19" s="2" t="s">
        <v>75</v>
      </c>
      <c r="E19" s="13"/>
      <c r="F19" s="13">
        <v>8000000</v>
      </c>
    </row>
    <row r="20" spans="3:6" x14ac:dyDescent="0.25">
      <c r="C20" s="2" t="s">
        <v>83</v>
      </c>
      <c r="E20" s="13"/>
      <c r="F20" s="13">
        <v>3000000</v>
      </c>
    </row>
    <row r="21" spans="3:6" x14ac:dyDescent="0.25">
      <c r="C21" s="2" t="s">
        <v>76</v>
      </c>
      <c r="E21" s="13"/>
      <c r="F21" s="13">
        <v>100000</v>
      </c>
    </row>
    <row r="22" spans="3:6" x14ac:dyDescent="0.25">
      <c r="E22" s="13"/>
    </row>
    <row r="23" spans="3:6" x14ac:dyDescent="0.25">
      <c r="C23" s="9" t="s">
        <v>77</v>
      </c>
      <c r="D23" s="9"/>
      <c r="E23" s="25"/>
      <c r="F23" s="27">
        <f>F19/F21</f>
        <v>80</v>
      </c>
    </row>
    <row r="24" spans="3:6" x14ac:dyDescent="0.25">
      <c r="C24" s="9"/>
      <c r="D24" s="9"/>
      <c r="E24" s="25"/>
    </row>
    <row r="25" spans="3:6" ht="15.6" x14ac:dyDescent="0.3">
      <c r="C25" s="6" t="s">
        <v>81</v>
      </c>
      <c r="D25" s="6"/>
      <c r="E25" s="6"/>
      <c r="F25" s="29">
        <f>F20/F23</f>
        <v>37500</v>
      </c>
    </row>
    <row r="27" spans="3:6" x14ac:dyDescent="0.25">
      <c r="C27" s="26" t="s">
        <v>78</v>
      </c>
    </row>
    <row r="28" spans="3:6" x14ac:dyDescent="0.25">
      <c r="C28" s="26"/>
    </row>
    <row r="29" spans="3:6" x14ac:dyDescent="0.25">
      <c r="C29" s="2" t="s">
        <v>83</v>
      </c>
      <c r="F29" s="13">
        <v>500000</v>
      </c>
    </row>
    <row r="31" spans="3:6" x14ac:dyDescent="0.25">
      <c r="C31" s="2" t="s">
        <v>71</v>
      </c>
      <c r="F31" s="23">
        <v>0.3</v>
      </c>
    </row>
    <row r="32" spans="3:6" x14ac:dyDescent="0.25">
      <c r="C32" s="2" t="s">
        <v>82</v>
      </c>
      <c r="F32" s="30">
        <f>F23*(1-F31)</f>
        <v>56</v>
      </c>
    </row>
    <row r="34" spans="3:6" x14ac:dyDescent="0.25">
      <c r="C34" s="2" t="s">
        <v>72</v>
      </c>
      <c r="F34" s="13">
        <v>5000000</v>
      </c>
    </row>
    <row r="35" spans="3:6" x14ac:dyDescent="0.25">
      <c r="C35" s="2" t="s">
        <v>82</v>
      </c>
      <c r="F35" s="30">
        <f>F34/F21</f>
        <v>50</v>
      </c>
    </row>
    <row r="37" spans="3:6" x14ac:dyDescent="0.25">
      <c r="C37" s="2" t="s">
        <v>79</v>
      </c>
      <c r="F37" s="27">
        <f>MIN(F35,F32)</f>
        <v>50</v>
      </c>
    </row>
    <row r="39" spans="3:6" ht="15.6" x14ac:dyDescent="0.3">
      <c r="C39" s="6" t="s">
        <v>80</v>
      </c>
      <c r="D39" s="6"/>
      <c r="E39" s="6"/>
      <c r="F39" s="29">
        <f>F29/F37</f>
        <v>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Question 1 - a</vt:lpstr>
      <vt:lpstr>Question 1 - b</vt:lpstr>
      <vt:lpstr>Question 1 - c</vt:lpstr>
      <vt:lpstr>Question 1 -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Eran Iohan</dc:creator>
  <cp:lastModifiedBy>Bar Artmayer (IL)</cp:lastModifiedBy>
  <dcterms:created xsi:type="dcterms:W3CDTF">2025-05-02T12:22:19Z</dcterms:created>
  <dcterms:modified xsi:type="dcterms:W3CDTF">2026-05-03T09:06:40Z</dcterms:modified>
</cp:coreProperties>
</file>